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cenarios" sheetId="1" r:id="rId4"/>
    <sheet state="visible" name="Sections" sheetId="2" r:id="rId5"/>
    <sheet state="visible" name="Inputs" sheetId="3" r:id="rId6"/>
    <sheet state="visible" name="Rounds" sheetId="4" r:id="rId7"/>
    <sheet state="visible" name="Per Game Calc" sheetId="5" r:id="rId8"/>
    <sheet state="visible" name="Round Calcs" sheetId="6" r:id="rId9"/>
    <sheet state="visible" name="Playoff Run" sheetId="7" r:id="rId10"/>
    <sheet state="visible" name="Sensitivity" sheetId="8" r:id="rId11"/>
    <sheet state="visible" name="Break-Even" sheetId="9" r:id="rId12"/>
  </sheets>
  <definedNames/>
  <calcPr/>
</workbook>
</file>

<file path=xl/sharedStrings.xml><?xml version="1.0" encoding="utf-8"?>
<sst xmlns="http://schemas.openxmlformats.org/spreadsheetml/2006/main" count="143" uniqueCount="126">
  <si>
    <t>Prebuilt Scenarios (toggle in Inputs)</t>
  </si>
  <si>
    <t>Scenario</t>
  </si>
  <si>
    <t>Fill rate</t>
  </si>
  <si>
    <t>Avg ticket (€)</t>
  </si>
  <si>
    <t>Concessions (€)</t>
  </si>
  <si>
    <t>Merch (€)</t>
  </si>
  <si>
    <t>Sponsorship/game (€)</t>
  </si>
  <si>
    <t>Ops costs (€)</t>
  </si>
  <si>
    <t>Marketing (€)</t>
  </si>
  <si>
    <t>Base</t>
  </si>
  <si>
    <t>Optimistic</t>
  </si>
  <si>
    <t>Conservative</t>
  </si>
  <si>
    <t>Seating Sections &amp; Prices (Gross incl. VAT)</t>
  </si>
  <si>
    <t>Section</t>
  </si>
  <si>
    <t>Seats</t>
  </si>
  <si>
    <t>Avg price (€)</t>
  </si>
  <si>
    <t>Expected sold</t>
  </si>
  <si>
    <t>Regular</t>
  </si>
  <si>
    <t>Premium</t>
  </si>
  <si>
    <t>VIP/Suite</t>
  </si>
  <si>
    <t>Totals</t>
  </si>
  <si>
    <t>Weighted avg ticket price (€)</t>
  </si>
  <si>
    <t>Total expected attendance</t>
  </si>
  <si>
    <t>HIFK Playoff Profit Calculator — Inputs</t>
  </si>
  <si>
    <t>Last updated:</t>
  </si>
  <si>
    <t>Use scenario values? (Yes/No)</t>
  </si>
  <si>
    <t>No</t>
  </si>
  <si>
    <t>Scenario name</t>
  </si>
  <si>
    <t>Arena &amp; Attendance</t>
  </si>
  <si>
    <t>Arena capacity (seats)</t>
  </si>
  <si>
    <t>Attendance fill rate (manual)</t>
  </si>
  <si>
    <t>Expected attendance (calc)</t>
  </si>
  <si>
    <t>Pull attendance &amp; weighted ticket from Sections? (Yes/No)</t>
  </si>
  <si>
    <t>Revenue Assumptions (Gross, incl. VAT)</t>
  </si>
  <si>
    <t>Average ticket price (€)</t>
  </si>
  <si>
    <t>Concessions per fan (€)</t>
  </si>
  <si>
    <t>Merchandise per fan (€)</t>
  </si>
  <si>
    <t>Sponsorship &amp; hospitality per game (€)</t>
  </si>
  <si>
    <t>VAT &amp; Sharing</t>
  </si>
  <si>
    <t>Ticket VAT rate</t>
  </si>
  <si>
    <t>Concessions VAT rate</t>
  </si>
  <si>
    <t>Merchandise VAT rate</t>
  </si>
  <si>
    <t>League/opponent share of ticket revenue (%)</t>
  </si>
  <si>
    <t>Cost Assumptions</t>
  </si>
  <si>
    <t>Game-day operating costs (€)</t>
  </si>
  <si>
    <t>Marketing &amp; production per game (€)</t>
  </si>
  <si>
    <t>Effective Inputs (used by model)</t>
  </si>
  <si>
    <t>Attendance (fans, effective)</t>
  </si>
  <si>
    <t>Avg ticket price (€ , effective)</t>
  </si>
  <si>
    <t>Concessions per fan (€ , effective)</t>
  </si>
  <si>
    <t>Merch per fan (€ , effective)</t>
  </si>
  <si>
    <t>Sponsorship/game (€ , effective)</t>
  </si>
  <si>
    <t>Ops costs (€ , effective)</t>
  </si>
  <si>
    <t>Marketing (€ , effective)</t>
  </si>
  <si>
    <t>Round-Based Setup (home games, bonuses, extra marketing, % uplifts to gross pricing)</t>
  </si>
  <si>
    <t>Round</t>
  </si>
  <si>
    <t>Home games (exp.)</t>
  </si>
  <si>
    <t>Bonus per game (€)</t>
  </si>
  <si>
    <t>Extra marketing (€)</t>
  </si>
  <si>
    <t>Ticket price uplift %</t>
  </si>
  <si>
    <t>Concessions uplift %</t>
  </si>
  <si>
    <t>Merch uplift %</t>
  </si>
  <si>
    <t>Include?</t>
  </si>
  <si>
    <t>Wild Card</t>
  </si>
  <si>
    <t>Yes</t>
  </si>
  <si>
    <t>Quarterfinal</t>
  </si>
  <si>
    <t>Semifinal</t>
  </si>
  <si>
    <t>Final</t>
  </si>
  <si>
    <t>Notes: Uplifts apply to gross (incl. VAT) pricing before VAT removal and ticket sharing.</t>
  </si>
  <si>
    <t>Per-Game Revenue &amp; Cost Breakdown (Baseline, Net of VAT &amp; Sharing)</t>
  </si>
  <si>
    <t>Metric</t>
  </si>
  <si>
    <t>Definition</t>
  </si>
  <si>
    <t>Value</t>
  </si>
  <si>
    <t>Attendance (fans)</t>
  </si>
  <si>
    <t>Avg ticket price (gross)</t>
  </si>
  <si>
    <t>Concessions per fan (gross)</t>
  </si>
  <si>
    <t>Merch per fan (gross)</t>
  </si>
  <si>
    <t>Ticket VAT</t>
  </si>
  <si>
    <t>Concessions VAT</t>
  </si>
  <si>
    <t>Merch VAT</t>
  </si>
  <si>
    <t>Ticket share</t>
  </si>
  <si>
    <t>Net ticket per fan</t>
  </si>
  <si>
    <t>Net concessions per fan</t>
  </si>
  <si>
    <t>Net merch per fan</t>
  </si>
  <si>
    <t>Ticket revenue (€)</t>
  </si>
  <si>
    <t>Concessions revenue (€)</t>
  </si>
  <si>
    <t>Merch revenue (€)</t>
  </si>
  <si>
    <t>Sponsorship (€)</t>
  </si>
  <si>
    <t>Total revenue (€)</t>
  </si>
  <si>
    <t>Bonuses (€)</t>
  </si>
  <si>
    <t>Total costs (€)</t>
  </si>
  <si>
    <t>Profit per game (€)</t>
  </si>
  <si>
    <t>Per-Round Per-Game Calculations (apply uplifts, VAT removal, ticket sharing)</t>
  </si>
  <si>
    <t>Home games</t>
  </si>
  <si>
    <t>Ticket gross (€)</t>
  </si>
  <si>
    <t>Concessions gross (€)</t>
  </si>
  <si>
    <t>Merch gross (€)</t>
  </si>
  <si>
    <t>Ticket net/fan</t>
  </si>
  <si>
    <t>Concessions net/fan</t>
  </si>
  <si>
    <t>Merch net/fan</t>
  </si>
  <si>
    <t>Revenue per game (€)</t>
  </si>
  <si>
    <t>Costs per game (€)</t>
  </si>
  <si>
    <t>Total profit (round) (€)</t>
  </si>
  <si>
    <t>Notes: This table applies per-round % uplifts to *gross* prices, then nets out VAT and ticket sharing before calculating revenues.</t>
  </si>
  <si>
    <t>Playoff Run Summary (round-weighted)</t>
  </si>
  <si>
    <t>Total profit (€)</t>
  </si>
  <si>
    <t>Weighted avg profit per game (€)</t>
  </si>
  <si>
    <t>Two-Way Sensitivity: Profit per Game (€) — varies Ticket (gross) and Concessions (gross)</t>
  </si>
  <si>
    <t>Row variable:</t>
  </si>
  <si>
    <t>Average ticket price (€), gross (incl. VAT)</t>
  </si>
  <si>
    <t>Column variable:</t>
  </si>
  <si>
    <t>Concessions per fan (€), gross (incl. VAT)</t>
  </si>
  <si>
    <t>Baseline Profit per Game (€) — baseline (no round uplift)</t>
  </si>
  <si>
    <t>€ Ticket ↓ / € Concessions →</t>
  </si>
  <si>
    <t>Interpretation: Each cell is profit per game if *gross* ticket (row) and *gross* concessions (col) take those values, with VAT removal and ticket revenue sharing applied. Other inputs are held constant (attendance, merch, sponsorship, ops, marketing). Round uplifts are ignored here to show pure price sensitivity.</t>
  </si>
  <si>
    <t>Break-Even Average Ticket Price (Gross) — per game (baseline)</t>
  </si>
  <si>
    <t>Required gross average ticket price for Profit per Game = 0</t>
  </si>
  <si>
    <t>Attendance (A)</t>
  </si>
  <si>
    <t>Ticket VAT (c_t)</t>
  </si>
  <si>
    <t>Sharing (s)</t>
  </si>
  <si>
    <t>Concessions gross per fan</t>
  </si>
  <si>
    <t>Merch gross per fan</t>
  </si>
  <si>
    <t>Sponsorship per game (S)</t>
  </si>
  <si>
    <t>Total non-ticket costs K (ops + mktg)</t>
  </si>
  <si>
    <t>Non-ticket net per fan</t>
  </si>
  <si>
    <t>Break-even ticket price (gross) P*</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</si>
</sst>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00"/>
    <numFmt numFmtId="165" formatCode="€#,##0"/>
    <numFmt numFmtId="166" formatCode="m/d/yyyy h:mm:ss"/>
  </numFmts>
  <fonts count="7">
    <font>
      <sz val="11.0"/>
      <color theme="1"/>
      <name val="Calibri"/>
      <scheme val="minor"/>
    </font>
    <font>
      <b/>
      <sz val="16.0"/>
      <color theme="1"/>
      <name val="Calibri"/>
    </font>
    <font>
      <b/>
      <sz val="11.0"/>
      <color theme="1"/>
      <name val="Calibri"/>
    </font>
    <font>
      <color theme="1"/>
      <name val="Calibri"/>
      <scheme val="minor"/>
    </font>
    <font>
      <sz val="11.0"/>
      <color theme="1"/>
      <name val="Calibri"/>
    </font>
    <font>
      <b/>
      <sz val="12.0"/>
      <color theme="1"/>
      <name val="Calibri"/>
    </font>
    <font>
      <i/>
      <sz val="11.0"/>
      <color rgb="FF666666"/>
      <name val="Calibri"/>
    </font>
  </fonts>
  <fills count="3">
    <fill>
      <patternFill patternType="none"/>
    </fill>
    <fill>
      <patternFill patternType="lightGray"/>
    </fill>
    <fill>
      <patternFill patternType="solid">
        <fgColor rgb="FFEFEFEF"/>
        <bgColor rgb="FFEFEFEF"/>
      </patternFill>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19">
    <xf borderId="0" fillId="0" fontId="0" numFmtId="0" xfId="0" applyAlignment="1" applyFont="1">
      <alignment readingOrder="0" shrinkToFit="0" vertical="bottom" wrapText="0"/>
    </xf>
    <xf borderId="0" fillId="0" fontId="1" numFmtId="0" xfId="0" applyFont="1"/>
    <xf borderId="1" fillId="2" fontId="2" numFmtId="0" xfId="0" applyBorder="1" applyFill="1" applyFont="1"/>
    <xf borderId="0" fillId="0" fontId="3" numFmtId="0" xfId="0" applyFont="1"/>
    <xf borderId="0" fillId="0" fontId="4" numFmtId="9" xfId="0" applyFont="1" applyNumberFormat="1"/>
    <xf borderId="0" fillId="0" fontId="4" numFmtId="164" xfId="0" applyFont="1" applyNumberFormat="1"/>
    <xf borderId="0" fillId="0" fontId="4" numFmtId="165" xfId="0" applyFont="1" applyNumberFormat="1"/>
    <xf borderId="0" fillId="0" fontId="4" numFmtId="1" xfId="0" applyFont="1" applyNumberFormat="1"/>
    <xf borderId="0" fillId="0" fontId="2" numFmtId="0" xfId="0" applyFont="1"/>
    <xf borderId="0" fillId="0" fontId="2" numFmtId="164" xfId="0" applyFont="1" applyNumberFormat="1"/>
    <xf borderId="0" fillId="0" fontId="3" numFmtId="166" xfId="0" applyFont="1" applyNumberFormat="1"/>
    <xf borderId="0" fillId="0" fontId="5" numFmtId="0" xfId="0" applyFont="1"/>
    <xf borderId="0" fillId="0" fontId="3" numFmtId="0" xfId="0" applyAlignment="1" applyFont="1">
      <alignment readingOrder="0"/>
    </xf>
    <xf borderId="0" fillId="0" fontId="4" numFmtId="9" xfId="0" applyAlignment="1" applyFont="1" applyNumberFormat="1">
      <alignment readingOrder="0"/>
    </xf>
    <xf borderId="0" fillId="0" fontId="3" numFmtId="0" xfId="0" applyAlignment="1" applyFont="1">
      <alignment horizontal="right"/>
    </xf>
    <xf borderId="0" fillId="0" fontId="4" numFmtId="164" xfId="0" applyAlignment="1" applyFont="1" applyNumberFormat="1">
      <alignment readingOrder="0"/>
    </xf>
    <xf borderId="0" fillId="0" fontId="4" numFmtId="1" xfId="0" applyAlignment="1" applyFont="1" applyNumberFormat="1">
      <alignment readingOrder="0"/>
    </xf>
    <xf borderId="0" fillId="0" fontId="6" numFmtId="0" xfId="0" applyFont="1"/>
    <xf borderId="0" fillId="0" fontId="2" numFmtId="165"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6.71"/>
    <col customWidth="1" min="2" max="8" width="16.71"/>
    <col customWidth="1" min="9" max="26" width="8.71"/>
  </cols>
  <sheetData>
    <row r="1">
      <c r="A1" s="1" t="s">
        <v>0</v>
      </c>
    </row>
    <row r="3">
      <c r="A3" s="2" t="s">
        <v>1</v>
      </c>
      <c r="B3" s="2" t="s">
        <v>2</v>
      </c>
      <c r="C3" s="2" t="s">
        <v>3</v>
      </c>
      <c r="D3" s="2" t="s">
        <v>4</v>
      </c>
      <c r="E3" s="2" t="s">
        <v>5</v>
      </c>
      <c r="F3" s="2" t="s">
        <v>6</v>
      </c>
      <c r="G3" s="2" t="s">
        <v>7</v>
      </c>
      <c r="H3" s="2" t="s">
        <v>8</v>
      </c>
    </row>
    <row r="5">
      <c r="A5" s="3" t="s">
        <v>9</v>
      </c>
      <c r="B5" s="4">
        <v>1.0</v>
      </c>
      <c r="C5" s="5">
        <v>38.0</v>
      </c>
      <c r="D5" s="5">
        <v>12.0</v>
      </c>
      <c r="E5" s="5">
        <v>3.0</v>
      </c>
      <c r="F5" s="6">
        <v>40000.0</v>
      </c>
      <c r="G5" s="6">
        <v>65000.0</v>
      </c>
      <c r="H5" s="6">
        <v>5000.0</v>
      </c>
    </row>
    <row r="6">
      <c r="A6" s="3" t="s">
        <v>10</v>
      </c>
      <c r="B6" s="4">
        <v>1.0</v>
      </c>
      <c r="C6" s="5">
        <v>42.0</v>
      </c>
      <c r="D6" s="5">
        <v>13.0</v>
      </c>
      <c r="E6" s="5">
        <v>4.0</v>
      </c>
      <c r="F6" s="6">
        <v>55000.0</v>
      </c>
      <c r="G6" s="6">
        <v>63000.0</v>
      </c>
      <c r="H6" s="6">
        <v>6000.0</v>
      </c>
    </row>
    <row r="7">
      <c r="A7" s="3" t="s">
        <v>11</v>
      </c>
      <c r="B7" s="4">
        <v>0.95</v>
      </c>
      <c r="C7" s="5">
        <v>34.0</v>
      </c>
      <c r="D7" s="5">
        <v>10.0</v>
      </c>
      <c r="E7" s="5">
        <v>2.0</v>
      </c>
      <c r="F7" s="6">
        <v>30000.0</v>
      </c>
      <c r="G7" s="6">
        <v>70000.0</v>
      </c>
      <c r="H7" s="6">
        <v>4000.0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4.71"/>
    <col customWidth="1" min="2" max="5" width="16.71"/>
    <col customWidth="1" min="6" max="26" width="8.71"/>
  </cols>
  <sheetData>
    <row r="1">
      <c r="A1" s="1" t="s">
        <v>12</v>
      </c>
    </row>
    <row r="3">
      <c r="A3" s="2" t="s">
        <v>13</v>
      </c>
      <c r="B3" s="2" t="s">
        <v>14</v>
      </c>
      <c r="C3" s="2" t="s">
        <v>2</v>
      </c>
      <c r="D3" s="2" t="s">
        <v>15</v>
      </c>
      <c r="E3" s="2" t="s">
        <v>16</v>
      </c>
    </row>
    <row r="5">
      <c r="A5" s="3" t="s">
        <v>17</v>
      </c>
      <c r="B5" s="7">
        <v>5200.0</v>
      </c>
      <c r="C5" s="4">
        <v>1.0</v>
      </c>
      <c r="D5" s="5">
        <v>30.0</v>
      </c>
      <c r="E5" s="7">
        <f t="shared" ref="E5:E7" si="1">B5*C5</f>
        <v>5200</v>
      </c>
    </row>
    <row r="6">
      <c r="A6" s="3" t="s">
        <v>18</v>
      </c>
      <c r="B6" s="7">
        <v>2500.0</v>
      </c>
      <c r="C6" s="4">
        <v>1.0</v>
      </c>
      <c r="D6" s="5">
        <v>45.0</v>
      </c>
      <c r="E6" s="7">
        <f t="shared" si="1"/>
        <v>2500</v>
      </c>
    </row>
    <row r="7">
      <c r="A7" s="3" t="s">
        <v>19</v>
      </c>
      <c r="B7" s="7">
        <v>500.0</v>
      </c>
      <c r="C7" s="4">
        <v>1.0</v>
      </c>
      <c r="D7" s="5">
        <v>90.0</v>
      </c>
      <c r="E7" s="7">
        <f t="shared" si="1"/>
        <v>500</v>
      </c>
    </row>
    <row r="8">
      <c r="A8" s="8" t="s">
        <v>20</v>
      </c>
      <c r="E8" s="7">
        <f>SUM(E4:E6)</f>
        <v>7700</v>
      </c>
    </row>
    <row r="10">
      <c r="C10" s="8" t="s">
        <v>21</v>
      </c>
      <c r="D10" s="9">
        <f t="array" ref="D10">SUM(E5:E7*D5:D7)/SUM(E5:E7)
</f>
        <v>38.23170732</v>
      </c>
    </row>
    <row r="11">
      <c r="C11" s="8" t="s">
        <v>22</v>
      </c>
      <c r="D11" s="7">
        <f>E8</f>
        <v>7700</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71"/>
    <col customWidth="1" min="2" max="4" width="22.71"/>
    <col customWidth="1" min="5" max="26" width="8.71"/>
  </cols>
  <sheetData>
    <row r="1">
      <c r="A1" s="1" t="s">
        <v>23</v>
      </c>
    </row>
    <row r="3">
      <c r="A3" s="8" t="s">
        <v>24</v>
      </c>
      <c r="B3" s="10">
        <f>NOW()</f>
        <v>46029.51395</v>
      </c>
    </row>
    <row r="5">
      <c r="A5" s="11" t="s">
        <v>25</v>
      </c>
      <c r="B5" s="12" t="s">
        <v>26</v>
      </c>
    </row>
    <row r="6">
      <c r="A6" s="3" t="s">
        <v>27</v>
      </c>
      <c r="B6" s="3" t="s">
        <v>9</v>
      </c>
    </row>
    <row r="8">
      <c r="A8" s="11" t="s">
        <v>28</v>
      </c>
    </row>
    <row r="9">
      <c r="A9" s="12" t="s">
        <v>29</v>
      </c>
      <c r="B9" s="7">
        <v>8200.0</v>
      </c>
    </row>
    <row r="10">
      <c r="A10" s="3" t="s">
        <v>30</v>
      </c>
      <c r="B10" s="13">
        <v>1.0</v>
      </c>
    </row>
    <row r="11">
      <c r="A11" s="3" t="s">
        <v>31</v>
      </c>
      <c r="B11" s="7">
        <f>B9*B10</f>
        <v>8200</v>
      </c>
    </row>
    <row r="12">
      <c r="A12" s="3" t="s">
        <v>32</v>
      </c>
      <c r="B12" s="14" t="s">
        <v>26</v>
      </c>
    </row>
    <row r="14">
      <c r="A14" s="11" t="s">
        <v>33</v>
      </c>
    </row>
    <row r="15">
      <c r="A15" s="3" t="s">
        <v>34</v>
      </c>
      <c r="B15" s="5">
        <v>38.0</v>
      </c>
    </row>
    <row r="16">
      <c r="A16" s="3" t="s">
        <v>35</v>
      </c>
      <c r="B16" s="15">
        <v>0.0</v>
      </c>
    </row>
    <row r="17">
      <c r="A17" s="3" t="s">
        <v>36</v>
      </c>
      <c r="B17" s="15">
        <v>0.0</v>
      </c>
    </row>
    <row r="18">
      <c r="A18" s="3" t="s">
        <v>37</v>
      </c>
      <c r="B18" s="6">
        <v>40000.0</v>
      </c>
    </row>
    <row r="20">
      <c r="A20" s="11" t="s">
        <v>38</v>
      </c>
    </row>
    <row r="21" ht="15.75" customHeight="1">
      <c r="A21" s="3" t="s">
        <v>39</v>
      </c>
      <c r="B21" s="4">
        <v>0.1</v>
      </c>
    </row>
    <row r="22" ht="15.75" customHeight="1">
      <c r="A22" s="3" t="s">
        <v>40</v>
      </c>
      <c r="B22" s="4">
        <v>0.14</v>
      </c>
    </row>
    <row r="23" ht="15.75" customHeight="1">
      <c r="A23" s="3" t="s">
        <v>41</v>
      </c>
      <c r="B23" s="4">
        <v>0.24</v>
      </c>
    </row>
    <row r="24" ht="15.75" customHeight="1">
      <c r="A24" s="3" t="s">
        <v>42</v>
      </c>
      <c r="B24" s="4">
        <v>0.0</v>
      </c>
    </row>
    <row r="25" ht="15.75" customHeight="1"/>
    <row r="26" ht="15.75" customHeight="1">
      <c r="A26" s="11" t="s">
        <v>43</v>
      </c>
    </row>
    <row r="27" ht="15.75" customHeight="1">
      <c r="A27" s="3" t="s">
        <v>44</v>
      </c>
      <c r="B27" s="6">
        <v>65000.0</v>
      </c>
    </row>
    <row r="28" ht="15.75" customHeight="1">
      <c r="A28" s="3" t="s">
        <v>45</v>
      </c>
      <c r="B28" s="6">
        <v>5000.0</v>
      </c>
    </row>
    <row r="29" ht="15.75" customHeight="1"/>
    <row r="30" ht="15.75" customHeight="1">
      <c r="A30" s="11" t="s">
        <v>46</v>
      </c>
    </row>
    <row r="31" ht="15.75" customHeight="1">
      <c r="A31" s="3" t="s">
        <v>47</v>
      </c>
      <c r="B31" s="7">
        <f t="array" ref="B31">IF($B$12="Yes",Sections!D11, IF($B$5="Yes", XLOOKUP($B$6,Scenarios!$A$4:$A$6,Scenarios!$B$4:$B$6)*$B$9, $B$11))</f>
        <v>8200</v>
      </c>
    </row>
    <row r="32" ht="15.75" customHeight="1">
      <c r="A32" s="3" t="s">
        <v>48</v>
      </c>
      <c r="B32" s="5">
        <f t="array" ref="B32">IF($B$12="Yes",Sections!D10, IF($B$5="Yes", XLOOKUP($B$6,Scenarios!$A$4:$A$6,Scenarios!$C$4:$C$6), $B$15))</f>
        <v>38</v>
      </c>
    </row>
    <row r="33" ht="15.75" customHeight="1">
      <c r="A33" s="3" t="s">
        <v>49</v>
      </c>
      <c r="B33" s="5">
        <f t="array" ref="B33">IF($B$5="Yes", XLOOKUP($B$6,Scenarios!$A$4:$A$6,Scenarios!$D$4:$D$6), $B$16)</f>
        <v>0</v>
      </c>
    </row>
    <row r="34" ht="15.75" customHeight="1">
      <c r="A34" s="3" t="s">
        <v>50</v>
      </c>
      <c r="B34" s="5">
        <f t="array" ref="B34">IF($B$5="Yes", XLOOKUP($B$6,Scenarios!$A$4:$A$6,Scenarios!$E$4:$E$6), $B$17)</f>
        <v>0</v>
      </c>
    </row>
    <row r="35" ht="15.75" customHeight="1">
      <c r="A35" s="3" t="s">
        <v>51</v>
      </c>
      <c r="B35" s="6">
        <f t="array" ref="B35">IF($B$5="Yes", XLOOKUP($B$6,Scenarios!$A$4:$A$6,Scenarios!$F$4:$F$6), $B$18)</f>
        <v>40000</v>
      </c>
    </row>
    <row r="36" ht="15.75" customHeight="1">
      <c r="A36" s="3" t="s">
        <v>52</v>
      </c>
      <c r="B36" s="6">
        <f t="array" ref="B36">IF($B$5="Yes", XLOOKUP($B$6,Scenarios!$A$4:$A$6,Scenarios!$G$4:$G$6), $B$27)</f>
        <v>65000</v>
      </c>
    </row>
    <row r="37" ht="15.75" customHeight="1">
      <c r="A37" s="3" t="s">
        <v>53</v>
      </c>
      <c r="B37" s="6">
        <f t="array" ref="B37">IF($B$5="Yes", XLOOKUP($B$6,Scenarios!$A$4:$A$6,Scenarios!$H$4:$H$6), $B$28)</f>
        <v>5000</v>
      </c>
    </row>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dataValidations>
    <dataValidation type="list" allowBlank="1" showErrorMessage="1" sqref="B6">
      <formula1>Scenarios!$A$4:$A$6</formula1>
    </dataValidation>
  </dataValidation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71"/>
    <col customWidth="1" min="2" max="8" width="16.71"/>
    <col customWidth="1" min="9" max="26" width="8.71"/>
  </cols>
  <sheetData>
    <row r="1">
      <c r="A1" s="1" t="s">
        <v>54</v>
      </c>
    </row>
    <row r="3">
      <c r="A3" s="2" t="s">
        <v>55</v>
      </c>
      <c r="B3" s="2" t="s">
        <v>56</v>
      </c>
      <c r="C3" s="2" t="s">
        <v>57</v>
      </c>
      <c r="D3" s="2" t="s">
        <v>58</v>
      </c>
      <c r="E3" s="2" t="s">
        <v>59</v>
      </c>
      <c r="F3" s="2" t="s">
        <v>60</v>
      </c>
      <c r="G3" s="2" t="s">
        <v>61</v>
      </c>
      <c r="H3" s="2" t="s">
        <v>62</v>
      </c>
    </row>
    <row r="5">
      <c r="A5" s="3" t="s">
        <v>63</v>
      </c>
      <c r="B5" s="16">
        <v>2.0</v>
      </c>
      <c r="C5" s="6">
        <v>5000.0</v>
      </c>
      <c r="D5" s="6">
        <v>500.0</v>
      </c>
      <c r="E5" s="4">
        <v>0.0</v>
      </c>
      <c r="F5" s="4">
        <v>0.0</v>
      </c>
      <c r="G5" s="4">
        <v>0.0</v>
      </c>
      <c r="H5" s="3" t="s">
        <v>64</v>
      </c>
    </row>
    <row r="6">
      <c r="A6" s="3" t="s">
        <v>65</v>
      </c>
      <c r="B6" s="7">
        <v>2.0</v>
      </c>
      <c r="C6" s="6">
        <v>8000.0</v>
      </c>
      <c r="D6" s="6">
        <v>1000.0</v>
      </c>
      <c r="E6" s="4">
        <v>0.05</v>
      </c>
      <c r="F6" s="4">
        <v>0.02</v>
      </c>
      <c r="G6" s="4">
        <v>0.03</v>
      </c>
      <c r="H6" s="3" t="s">
        <v>64</v>
      </c>
    </row>
    <row r="7">
      <c r="A7" s="3" t="s">
        <v>66</v>
      </c>
      <c r="B7" s="7">
        <v>2.0</v>
      </c>
      <c r="C7" s="6">
        <v>12000.0</v>
      </c>
      <c r="D7" s="6">
        <v>1500.0</v>
      </c>
      <c r="E7" s="4">
        <v>0.1</v>
      </c>
      <c r="F7" s="4">
        <v>0.03</v>
      </c>
      <c r="G7" s="4">
        <v>0.05</v>
      </c>
      <c r="H7" s="3" t="s">
        <v>64</v>
      </c>
    </row>
    <row r="8">
      <c r="A8" s="3" t="s">
        <v>67</v>
      </c>
      <c r="B8" s="7">
        <v>2.0</v>
      </c>
      <c r="C8" s="6">
        <v>20000.0</v>
      </c>
      <c r="D8" s="6">
        <v>2500.0</v>
      </c>
      <c r="E8" s="4">
        <v>0.15</v>
      </c>
      <c r="F8" s="4">
        <v>0.05</v>
      </c>
      <c r="G8" s="4">
        <v>0.08</v>
      </c>
      <c r="H8" s="3" t="s">
        <v>64</v>
      </c>
    </row>
    <row r="9">
      <c r="A9" s="17" t="s">
        <v>68</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 width="36.71"/>
    <col customWidth="1" min="3" max="4" width="22.71"/>
    <col customWidth="1" min="5" max="26" width="8.71"/>
  </cols>
  <sheetData>
    <row r="1">
      <c r="A1" s="1" t="s">
        <v>69</v>
      </c>
    </row>
    <row r="3">
      <c r="A3" s="2" t="s">
        <v>70</v>
      </c>
      <c r="B3" s="2" t="s">
        <v>71</v>
      </c>
      <c r="C3" s="2" t="s">
        <v>72</v>
      </c>
    </row>
    <row r="4">
      <c r="A4" s="3" t="s">
        <v>73</v>
      </c>
      <c r="C4" s="7">
        <f>Inputs!B31</f>
        <v>8200</v>
      </c>
    </row>
    <row r="6">
      <c r="A6" s="3" t="s">
        <v>74</v>
      </c>
      <c r="C6" s="5">
        <f>Inputs!B32</f>
        <v>38</v>
      </c>
    </row>
    <row r="7">
      <c r="A7" s="3" t="s">
        <v>75</v>
      </c>
      <c r="C7" s="5">
        <f>Inputs!B33</f>
        <v>0</v>
      </c>
    </row>
    <row r="8">
      <c r="A8" s="3" t="s">
        <v>76</v>
      </c>
      <c r="C8" s="5">
        <f>Inputs!B34</f>
        <v>0</v>
      </c>
    </row>
    <row r="10">
      <c r="A10" s="3" t="s">
        <v>77</v>
      </c>
      <c r="C10" s="4">
        <f>Inputs!B21</f>
        <v>0.1</v>
      </c>
    </row>
    <row r="11">
      <c r="A11" s="3" t="s">
        <v>78</v>
      </c>
      <c r="C11" s="4">
        <f>Inputs!B22</f>
        <v>0.14</v>
      </c>
    </row>
    <row r="12">
      <c r="A12" s="3" t="s">
        <v>79</v>
      </c>
      <c r="C12" s="4">
        <f>Inputs!B23</f>
        <v>0.24</v>
      </c>
    </row>
    <row r="13">
      <c r="A13" s="3" t="s">
        <v>80</v>
      </c>
      <c r="C13" s="4">
        <f>Inputs!B24</f>
        <v>0</v>
      </c>
    </row>
    <row r="15">
      <c r="A15" s="3" t="s">
        <v>81</v>
      </c>
      <c r="C15" s="5">
        <f>C6/(1+C10)*(1-C13)</f>
        <v>34.54545455</v>
      </c>
    </row>
    <row r="16">
      <c r="A16" s="3" t="s">
        <v>82</v>
      </c>
      <c r="C16" s="5">
        <f t="shared" ref="C16:C17" si="1">C7/(1+C11)</f>
        <v>0</v>
      </c>
    </row>
    <row r="17">
      <c r="A17" s="3" t="s">
        <v>83</v>
      </c>
      <c r="C17" s="5">
        <f t="shared" si="1"/>
        <v>0</v>
      </c>
    </row>
    <row r="19">
      <c r="A19" s="3" t="s">
        <v>84</v>
      </c>
      <c r="C19" s="9">
        <f>C4*C15</f>
        <v>283272.7273</v>
      </c>
    </row>
    <row r="20">
      <c r="A20" s="3" t="s">
        <v>85</v>
      </c>
      <c r="C20" s="5">
        <f>C4*C16</f>
        <v>0</v>
      </c>
    </row>
    <row r="21" ht="15.75" customHeight="1">
      <c r="A21" s="3" t="s">
        <v>86</v>
      </c>
      <c r="C21" s="5">
        <f>C4*C17</f>
        <v>0</v>
      </c>
    </row>
    <row r="22" ht="15.75" customHeight="1">
      <c r="A22" s="3" t="s">
        <v>87</v>
      </c>
      <c r="C22" s="6">
        <f>Inputs!B35</f>
        <v>40000</v>
      </c>
    </row>
    <row r="23" ht="15.75" customHeight="1"/>
    <row r="24" ht="15.75" customHeight="1">
      <c r="A24" s="3" t="s">
        <v>88</v>
      </c>
      <c r="C24" s="18">
        <f>SUM(C19:C22)</f>
        <v>323272.7273</v>
      </c>
    </row>
    <row r="25" ht="15.75" customHeight="1"/>
    <row r="26" ht="15.75" customHeight="1">
      <c r="A26" s="3" t="s">
        <v>7</v>
      </c>
      <c r="C26" s="6">
        <f>Inputs!B36</f>
        <v>65000</v>
      </c>
    </row>
    <row r="27" ht="15.75" customHeight="1">
      <c r="A27" s="3" t="s">
        <v>8</v>
      </c>
      <c r="C27" s="6">
        <f>Inputs!B37</f>
        <v>5000</v>
      </c>
    </row>
    <row r="28" ht="15.75" customHeight="1">
      <c r="A28" s="3" t="s">
        <v>89</v>
      </c>
      <c r="C28" s="6">
        <f>0</f>
        <v>0</v>
      </c>
    </row>
    <row r="29" ht="15.75" customHeight="1"/>
    <row r="30" ht="15.75" customHeight="1">
      <c r="A30" s="3" t="s">
        <v>90</v>
      </c>
      <c r="C30" s="18">
        <f>SUM(C26:C28)</f>
        <v>70000</v>
      </c>
    </row>
    <row r="31" ht="15.75" customHeight="1"/>
    <row r="32" ht="15.75" customHeight="1">
      <c r="A32" s="3" t="s">
        <v>91</v>
      </c>
      <c r="C32" s="18">
        <f>C24-C30</f>
        <v>253272.7273</v>
      </c>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0.71"/>
    <col customWidth="1" min="2" max="11" width="18.71"/>
    <col customWidth="1" min="12" max="12" width="21.0"/>
    <col customWidth="1" min="13" max="26" width="8.71"/>
  </cols>
  <sheetData>
    <row r="1">
      <c r="A1" s="1" t="s">
        <v>92</v>
      </c>
    </row>
    <row r="3">
      <c r="A3" s="2" t="s">
        <v>55</v>
      </c>
      <c r="B3" s="2" t="s">
        <v>93</v>
      </c>
      <c r="C3" s="2" t="s">
        <v>94</v>
      </c>
      <c r="D3" s="2" t="s">
        <v>95</v>
      </c>
      <c r="E3" s="2" t="s">
        <v>96</v>
      </c>
      <c r="F3" s="2" t="s">
        <v>97</v>
      </c>
      <c r="G3" s="2" t="s">
        <v>98</v>
      </c>
      <c r="H3" s="2" t="s">
        <v>99</v>
      </c>
      <c r="I3" s="2" t="s">
        <v>100</v>
      </c>
      <c r="J3" s="2" t="s">
        <v>101</v>
      </c>
      <c r="K3" s="2" t="s">
        <v>91</v>
      </c>
      <c r="L3" s="2" t="s">
        <v>102</v>
      </c>
    </row>
    <row r="5">
      <c r="A5" s="3" t="str">
        <f>Rounds!A5</f>
        <v>Wild Card</v>
      </c>
      <c r="B5" s="16">
        <v>2.0</v>
      </c>
      <c r="C5" s="5">
        <f>Inputs!B32*(1+Rounds!E4)</f>
        <v>38</v>
      </c>
      <c r="D5" s="5">
        <f>Inputs!B33*(1+Rounds!F4)</f>
        <v>0</v>
      </c>
      <c r="E5" s="5">
        <f>Inputs!B34*(1+Rounds!G4)</f>
        <v>0</v>
      </c>
      <c r="F5" s="5">
        <f>C5/(1+Inputs!B21)*(1-Inputs!B24)</f>
        <v>34.54545455</v>
      </c>
      <c r="G5" s="5">
        <f>D5/(1+Inputs!B22)</f>
        <v>0</v>
      </c>
      <c r="H5" s="5">
        <f>E5/(1+Inputs!B23)</f>
        <v>0</v>
      </c>
      <c r="I5" s="9">
        <f>Inputs!B31*(F5+G5+H5) + Inputs!B35</f>
        <v>323272.7273</v>
      </c>
      <c r="J5" s="6">
        <f>Inputs!B36 + Inputs!B37 + Rounds!D4 + Rounds!C4</f>
        <v>70000</v>
      </c>
      <c r="K5" s="18">
        <f t="shared" ref="K5:K8" si="1">I5-J5</f>
        <v>253272.7273</v>
      </c>
      <c r="L5" s="18">
        <f t="shared" ref="L5:L8" si="2">B5*K5</f>
        <v>506545.4545</v>
      </c>
    </row>
    <row r="6">
      <c r="A6" s="3" t="str">
        <f>Rounds!A6</f>
        <v>Quarterfinal</v>
      </c>
      <c r="B6" s="16">
        <v>2.0</v>
      </c>
      <c r="C6" s="5">
        <f>Inputs!B32*(1+Rounds!E5)</f>
        <v>38</v>
      </c>
      <c r="D6" s="5">
        <f>Inputs!B33*(1+Rounds!F5)</f>
        <v>0</v>
      </c>
      <c r="E6" s="5">
        <f>Inputs!B34*(1+Rounds!G5)</f>
        <v>0</v>
      </c>
      <c r="F6" s="5">
        <f>C6/(1+Inputs!B21)*(1-Inputs!B24)</f>
        <v>34.54545455</v>
      </c>
      <c r="G6" s="5">
        <f>D6/(1+Inputs!B22)</f>
        <v>0</v>
      </c>
      <c r="H6" s="5">
        <f>E6/(1+Inputs!B23)</f>
        <v>0</v>
      </c>
      <c r="I6" s="9">
        <f>Inputs!B31*(F6+G6+H6) + Inputs!B35</f>
        <v>323272.7273</v>
      </c>
      <c r="J6" s="6">
        <f>Inputs!B36 + Inputs!B37 + Rounds!D5 + Rounds!C5</f>
        <v>75500</v>
      </c>
      <c r="K6" s="18">
        <f t="shared" si="1"/>
        <v>247772.7273</v>
      </c>
      <c r="L6" s="18">
        <f t="shared" si="2"/>
        <v>495545.4545</v>
      </c>
    </row>
    <row r="7">
      <c r="A7" s="3" t="str">
        <f>Rounds!A7</f>
        <v>Semifinal</v>
      </c>
      <c r="B7" s="7">
        <f>IF(Rounds!H6="Yes",Rounds!B6,0)</f>
        <v>2</v>
      </c>
      <c r="C7" s="5">
        <f>Inputs!B32*(1+Rounds!E6)</f>
        <v>39.9</v>
      </c>
      <c r="D7" s="5">
        <f>Inputs!B33*(1+Rounds!F6)</f>
        <v>0</v>
      </c>
      <c r="E7" s="5">
        <f>Inputs!B34*(1+Rounds!G6)</f>
        <v>0</v>
      </c>
      <c r="F7" s="5">
        <f>C7/(1+Inputs!B21)*(1-Inputs!B24)</f>
        <v>36.27272727</v>
      </c>
      <c r="G7" s="5">
        <f>D7/(1+Inputs!B22)</f>
        <v>0</v>
      </c>
      <c r="H7" s="5">
        <f>E7/(1+Inputs!B23)</f>
        <v>0</v>
      </c>
      <c r="I7" s="9">
        <f>Inputs!B31*(F7+G7+H7) + Inputs!B35</f>
        <v>337436.3636</v>
      </c>
      <c r="J7" s="6">
        <f>Inputs!B36 + Inputs!B37 + Rounds!D6 + Rounds!C6</f>
        <v>79000</v>
      </c>
      <c r="K7" s="18">
        <f t="shared" si="1"/>
        <v>258436.3636</v>
      </c>
      <c r="L7" s="18">
        <f t="shared" si="2"/>
        <v>516872.7273</v>
      </c>
    </row>
    <row r="8">
      <c r="A8" s="12" t="s">
        <v>67</v>
      </c>
      <c r="B8" s="7">
        <f>IF(Rounds!H7="Yes",Rounds!B7,0)</f>
        <v>2</v>
      </c>
      <c r="C8" s="5">
        <f>Inputs!B32*(1+Rounds!E7)</f>
        <v>41.8</v>
      </c>
      <c r="D8" s="5">
        <f>Inputs!B33*(1+Rounds!F7)</f>
        <v>0</v>
      </c>
      <c r="E8" s="5">
        <f>Inputs!B34*(1+Rounds!G7)</f>
        <v>0</v>
      </c>
      <c r="F8" s="5">
        <f>C8/(1+Inputs!B21)*(1-Inputs!B24)</f>
        <v>38</v>
      </c>
      <c r="G8" s="5">
        <f>D8/(1+Inputs!B22)</f>
        <v>0</v>
      </c>
      <c r="H8" s="5">
        <f>E8/(1+Inputs!B23)</f>
        <v>0</v>
      </c>
      <c r="I8" s="9">
        <f>Inputs!B31*(F8+G8+H8) + Inputs!B35</f>
        <v>351600</v>
      </c>
      <c r="J8" s="6">
        <f>Inputs!B36 + Inputs!B37 + Rounds!D7 + Rounds!C7</f>
        <v>83500</v>
      </c>
      <c r="K8" s="18">
        <f t="shared" si="1"/>
        <v>268100</v>
      </c>
      <c r="L8" s="18">
        <f t="shared" si="2"/>
        <v>536200</v>
      </c>
    </row>
    <row r="10">
      <c r="A10" s="17" t="s">
        <v>103</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8.71"/>
    <col customWidth="1" min="2" max="4" width="20.71"/>
    <col customWidth="1" min="5" max="26" width="8.71"/>
  </cols>
  <sheetData>
    <row r="1">
      <c r="A1" s="1" t="s">
        <v>104</v>
      </c>
    </row>
    <row r="3">
      <c r="A3" s="2" t="s">
        <v>55</v>
      </c>
      <c r="B3" s="2" t="s">
        <v>93</v>
      </c>
      <c r="C3" s="2" t="s">
        <v>91</v>
      </c>
      <c r="D3" s="2" t="s">
        <v>105</v>
      </c>
    </row>
    <row r="5">
      <c r="A5" s="3" t="str">
        <f>'Round Calcs'!A5</f>
        <v>Wild Card</v>
      </c>
      <c r="B5" s="7">
        <f>'Round Calcs'!B5</f>
        <v>2</v>
      </c>
      <c r="C5" s="9">
        <f>'Round Calcs'!K5</f>
        <v>253272.7273</v>
      </c>
      <c r="D5" s="18">
        <f>'Round Calcs'!L5</f>
        <v>506545.4545</v>
      </c>
    </row>
    <row r="6">
      <c r="A6" s="3" t="str">
        <f>'Round Calcs'!A6</f>
        <v>Quarterfinal</v>
      </c>
      <c r="B6" s="7">
        <f>'Round Calcs'!B6</f>
        <v>2</v>
      </c>
      <c r="C6" s="9">
        <f>'Round Calcs'!K6</f>
        <v>247772.7273</v>
      </c>
      <c r="D6" s="18">
        <f>'Round Calcs'!L6</f>
        <v>495545.4545</v>
      </c>
    </row>
    <row r="7">
      <c r="A7" s="3" t="str">
        <f>'Round Calcs'!A7</f>
        <v>Semifinal</v>
      </c>
      <c r="B7" s="7">
        <f>'Round Calcs'!B7</f>
        <v>2</v>
      </c>
      <c r="C7" s="9">
        <f>'Round Calcs'!K7</f>
        <v>258436.3636</v>
      </c>
      <c r="D7" s="18">
        <f>'Round Calcs'!L7</f>
        <v>516872.7273</v>
      </c>
    </row>
    <row r="8">
      <c r="A8" s="3" t="str">
        <f>'Round Calcs'!A8</f>
        <v>Final</v>
      </c>
      <c r="B8" s="7">
        <f>'Round Calcs'!B8</f>
        <v>2</v>
      </c>
      <c r="C8" s="9">
        <f>'Round Calcs'!K8</f>
        <v>268100</v>
      </c>
      <c r="D8" s="18">
        <f>'Round Calcs'!L8</f>
        <v>536200</v>
      </c>
    </row>
    <row r="9">
      <c r="A9" s="8" t="s">
        <v>20</v>
      </c>
      <c r="B9" s="7" t="str">
        <f>'Round Calcs'!B9</f>
        <v/>
      </c>
      <c r="D9" s="18">
        <f>SUM(D4:D7)</f>
        <v>1518963.636</v>
      </c>
    </row>
    <row r="11">
      <c r="A11" s="8" t="s">
        <v>106</v>
      </c>
      <c r="B11" s="9">
        <f>D9 / SUM(B5:B8)
</f>
        <v>189870.4545</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0.71"/>
    <col customWidth="1" min="2" max="9" width="14.71"/>
    <col customWidth="1" min="10" max="26" width="8.71"/>
  </cols>
  <sheetData>
    <row r="1">
      <c r="A1" s="1" t="s">
        <v>107</v>
      </c>
    </row>
    <row r="3">
      <c r="A3" s="8" t="s">
        <v>108</v>
      </c>
      <c r="B3" s="3" t="s">
        <v>109</v>
      </c>
    </row>
    <row r="4">
      <c r="A4" s="8" t="s">
        <v>110</v>
      </c>
      <c r="B4" s="3" t="s">
        <v>111</v>
      </c>
    </row>
    <row r="6">
      <c r="A6" s="8" t="s">
        <v>112</v>
      </c>
      <c r="B6" s="18">
        <f>'Per Game Calc'!C32</f>
        <v>253272.7273</v>
      </c>
    </row>
    <row r="8">
      <c r="A8" s="2" t="s">
        <v>113</v>
      </c>
      <c r="B8" s="5">
        <v>8.0</v>
      </c>
      <c r="C8" s="5">
        <v>9.0</v>
      </c>
      <c r="D8" s="5">
        <v>10.0</v>
      </c>
      <c r="E8" s="5">
        <v>11.0</v>
      </c>
      <c r="F8" s="5">
        <v>12.0</v>
      </c>
      <c r="G8" s="5">
        <v>13.0</v>
      </c>
      <c r="H8" s="5">
        <v>14.0</v>
      </c>
      <c r="I8" s="5">
        <v>15.0</v>
      </c>
    </row>
    <row r="9">
      <c r="A9" s="5">
        <v>30.0</v>
      </c>
      <c r="B9" s="5">
        <f>Inputs!B31*((A9/(1+Inputs!B21))*(1-Inputs!B24) + (B8/(1+Inputs!B22)) + (Inputs!B34/(1+Inputs!B23))) + Inputs!B35 - (Inputs!B36 + Inputs!B37)</f>
        <v>251180.2233</v>
      </c>
      <c r="C9" s="5">
        <f>Inputs!B31*((A9/(1+Inputs!B21))*(1-Inputs!B24) + (C8/(1+Inputs!B22)) + (Inputs!B34/(1+Inputs!B23))) + Inputs!B35 - (Inputs!B36 + Inputs!B37)</f>
        <v>258373.2057</v>
      </c>
      <c r="D9" s="5">
        <f>Inputs!B31*((A9/(1+Inputs!B21))*(1-Inputs!B24) + (D8/(1+Inputs!B22)) + (Inputs!B34/(1+Inputs!B23))) + Inputs!B35 - (Inputs!B36 + Inputs!B37)</f>
        <v>265566.1882</v>
      </c>
      <c r="E9" s="5">
        <f>Inputs!B31*((A9/(1+Inputs!B21))*(1-Inputs!B24) + (E8/(1+Inputs!B22)) + (Inputs!B34/(1+Inputs!B23))) + Inputs!B35 - (Inputs!B36 + Inputs!B37)</f>
        <v>272759.1707</v>
      </c>
      <c r="F9" s="5">
        <f>Inputs!B31*((A9/(1+Inputs!B21))*(1-Inputs!B24) + (F8/(1+Inputs!B22)) + (Inputs!B34/(1+Inputs!B23))) + Inputs!B35 - (Inputs!B36 + Inputs!B37)</f>
        <v>279952.1531</v>
      </c>
      <c r="G9" s="5">
        <f>Inputs!B31*((A9/(1+Inputs!B21))*(1-Inputs!B24) + (G8/(1+Inputs!B22)) + (Inputs!B34/(1+Inputs!B23))) + Inputs!B35 - (Inputs!B36 + Inputs!B37)</f>
        <v>287145.1356</v>
      </c>
      <c r="H9" s="5">
        <f>Inputs!B31*((A9/(1+Inputs!B21))*(1-Inputs!B24) + (H8/(1+Inputs!B22)) + (Inputs!B34/(1+Inputs!B23))) + Inputs!B35 - (Inputs!B36 + Inputs!B37)</f>
        <v>294338.118</v>
      </c>
      <c r="I9" s="5">
        <f>Inputs!B31*((A9/(1+Inputs!B21))*(1-Inputs!B24) + (I8/(1+Inputs!B22)) + (Inputs!B34/(1+Inputs!B23))) + Inputs!B35 - (Inputs!B36 + Inputs!B37)</f>
        <v>301531.1005</v>
      </c>
    </row>
    <row r="10">
      <c r="A10" s="5">
        <v>34.0</v>
      </c>
      <c r="B10" s="5">
        <f>Inputs!B31*((A10/(1+Inputs!B21))*(1-Inputs!B24) + (B8/(1+Inputs!B22)) + (Inputs!B34/(1+Inputs!B23))) + Inputs!B35 - (Inputs!B36 + Inputs!B37)</f>
        <v>280998.4051</v>
      </c>
      <c r="C10" s="5">
        <f>Inputs!B31*((A10/(1+Inputs!B21))*(1-Inputs!B24) + (C8/(1+Inputs!B22)) + (Inputs!B34/(1+Inputs!B23))) + Inputs!B35 - (Inputs!B36 + Inputs!B37)</f>
        <v>288191.3876</v>
      </c>
      <c r="D10" s="5">
        <f>Inputs!B31*((A10/(1+Inputs!B21))*(1-Inputs!B24) + (D8/(1+Inputs!B22)) + (Inputs!B34/(1+Inputs!B23))) + Inputs!B35 - (Inputs!B36 + Inputs!B37)</f>
        <v>295384.37</v>
      </c>
      <c r="E10" s="5">
        <f>Inputs!B31*((A10/(1+Inputs!B21))*(1-Inputs!B24) + (E8/(1+Inputs!B22)) + (Inputs!B34/(1+Inputs!B23))) + Inputs!B35 - (Inputs!B36 + Inputs!B37)</f>
        <v>302577.3525</v>
      </c>
      <c r="F10" s="5">
        <f>Inputs!B31*((A10/(1+Inputs!B21))*(1-Inputs!B24) + (F8/(1+Inputs!B22)) + (Inputs!B34/(1+Inputs!B23))) + Inputs!B35 - (Inputs!B36 + Inputs!B37)</f>
        <v>309770.3349</v>
      </c>
      <c r="G10" s="5">
        <f>Inputs!B31*((A10/(1+Inputs!B21))*(1-Inputs!B24) + (G8/(1+Inputs!B22)) + (Inputs!B34/(1+Inputs!B23))) + Inputs!B35 - (Inputs!B36 + Inputs!B37)</f>
        <v>316963.3174</v>
      </c>
      <c r="H10" s="5">
        <f>Inputs!B31*((A10/(1+Inputs!B21))*(1-Inputs!B24) + (H8/(1+Inputs!B22)) + (Inputs!B34/(1+Inputs!B23))) + Inputs!B35 - (Inputs!B36 + Inputs!B37)</f>
        <v>324156.2998</v>
      </c>
      <c r="I10" s="5">
        <f>Inputs!B31*((A10/(1+Inputs!B21))*(1-Inputs!B24) + (I8/(1+Inputs!B22)) + (Inputs!B34/(1+Inputs!B23))) + Inputs!B35 - (Inputs!B36 + Inputs!B37)</f>
        <v>331349.2823</v>
      </c>
    </row>
    <row r="11">
      <c r="A11" s="5">
        <v>38.0</v>
      </c>
      <c r="B11" s="5">
        <f>Inputs!B31*((A11/(1+Inputs!B21))*(1-Inputs!B24) + (B8/(1+Inputs!B22)) + (Inputs!B34/(1+Inputs!B23))) + Inputs!B35 - (Inputs!B36 + Inputs!B37)</f>
        <v>310816.5869</v>
      </c>
      <c r="C11" s="5">
        <f>Inputs!B31*((A11/(1+Inputs!B21))*(1-Inputs!B24) + (C8/(1+Inputs!B22)) + (Inputs!B34/(1+Inputs!B23))) + Inputs!B35 - (Inputs!B36 + Inputs!B37)</f>
        <v>318009.5694</v>
      </c>
      <c r="D11" s="5">
        <f>Inputs!B31*((A11/(1+Inputs!B21))*(1-Inputs!B24) + (D8/(1+Inputs!B22)) + (Inputs!B34/(1+Inputs!B23))) + Inputs!B35 - (Inputs!B36 + Inputs!B37)</f>
        <v>325202.5518</v>
      </c>
      <c r="E11" s="5">
        <f>Inputs!B31*((A11/(1+Inputs!B21))*(1-Inputs!B24) + (E8/(1+Inputs!B22)) + (Inputs!B34/(1+Inputs!B23))) + Inputs!B35 - (Inputs!B36 + Inputs!B37)</f>
        <v>332395.5343</v>
      </c>
      <c r="F11" s="5">
        <f>Inputs!B31*((A11/(1+Inputs!B21))*(1-Inputs!B24) + (F8/(1+Inputs!B22)) + (Inputs!B34/(1+Inputs!B23))) + Inputs!B35 - (Inputs!B36 + Inputs!B37)</f>
        <v>339588.5167</v>
      </c>
      <c r="G11" s="5">
        <f>Inputs!B31*((A11/(1+Inputs!B21))*(1-Inputs!B24) + (G8/(1+Inputs!B22)) + (Inputs!B34/(1+Inputs!B23))) + Inputs!B35 - (Inputs!B36 + Inputs!B37)</f>
        <v>346781.4992</v>
      </c>
      <c r="H11" s="5">
        <f>Inputs!B31*((A11/(1+Inputs!B21))*(1-Inputs!B24) + (H8/(1+Inputs!B22)) + (Inputs!B34/(1+Inputs!B23))) + Inputs!B35 - (Inputs!B36 + Inputs!B37)</f>
        <v>353974.4817</v>
      </c>
      <c r="I11" s="5">
        <f>Inputs!B31*((A11/(1+Inputs!B21))*(1-Inputs!B24) + (I8/(1+Inputs!B22)) + (Inputs!B34/(1+Inputs!B23))) + Inputs!B35 - (Inputs!B36 + Inputs!B37)</f>
        <v>361167.4641</v>
      </c>
    </row>
    <row r="12">
      <c r="A12" s="5">
        <v>42.0</v>
      </c>
      <c r="B12" s="5">
        <f>Inputs!B31*((A12/(1+Inputs!B21))*(1-Inputs!B24) + (B8/(1+Inputs!B22)) + (Inputs!B34/(1+Inputs!B23))) + Inputs!B35 - (Inputs!B36 + Inputs!B37)</f>
        <v>340634.7687</v>
      </c>
      <c r="C12" s="5">
        <f>Inputs!B31*((A12/(1+Inputs!B21))*(1-Inputs!B24) + (C8/(1+Inputs!B22)) + (Inputs!B34/(1+Inputs!B23))) + Inputs!B35 - (Inputs!B36 + Inputs!B37)</f>
        <v>347827.7512</v>
      </c>
      <c r="D12" s="5">
        <f>Inputs!B31*((A12/(1+Inputs!B21))*(1-Inputs!B24) + (D8/(1+Inputs!B22)) + (Inputs!B34/(1+Inputs!B23))) + Inputs!B35 - (Inputs!B36 + Inputs!B37)</f>
        <v>355020.7337</v>
      </c>
      <c r="E12" s="5">
        <f>Inputs!B31*((A12/(1+Inputs!B21))*(1-Inputs!B24) + (E8/(1+Inputs!B22)) + (Inputs!B34/(1+Inputs!B23))) + Inputs!B35 - (Inputs!B36 + Inputs!B37)</f>
        <v>362213.7161</v>
      </c>
      <c r="F12" s="5">
        <f>Inputs!B31*((A12/(1+Inputs!B21))*(1-Inputs!B24) + (F8/(1+Inputs!B22)) + (Inputs!B34/(1+Inputs!B23))) + Inputs!B35 - (Inputs!B36 + Inputs!B37)</f>
        <v>369406.6986</v>
      </c>
      <c r="G12" s="5">
        <f>Inputs!B31*((A12/(1+Inputs!B21))*(1-Inputs!B24) + (G8/(1+Inputs!B22)) + (Inputs!B34/(1+Inputs!B23))) + Inputs!B35 - (Inputs!B36 + Inputs!B37)</f>
        <v>376599.681</v>
      </c>
      <c r="H12" s="5">
        <f>Inputs!B31*((A12/(1+Inputs!B21))*(1-Inputs!B24) + (H8/(1+Inputs!B22)) + (Inputs!B34/(1+Inputs!B23))) + Inputs!B35 - (Inputs!B36 + Inputs!B37)</f>
        <v>383792.6635</v>
      </c>
      <c r="I12" s="5">
        <f>Inputs!B31*((A12/(1+Inputs!B21))*(1-Inputs!B24) + (I8/(1+Inputs!B22)) + (Inputs!B34/(1+Inputs!B23))) + Inputs!B35 - (Inputs!B36 + Inputs!B37)</f>
        <v>390985.6459</v>
      </c>
    </row>
    <row r="13">
      <c r="A13" s="5">
        <v>46.0</v>
      </c>
      <c r="B13" s="5">
        <f>Inputs!B31*((A13/(1+Inputs!B21))*(1-Inputs!B24) + (B8/(1+Inputs!B22)) + (Inputs!B34/(1+Inputs!B23))) + Inputs!B35 - (Inputs!B36 + Inputs!B37)</f>
        <v>370452.9506</v>
      </c>
      <c r="C13" s="5">
        <f>Inputs!B31*((A13/(1+Inputs!B21))*(1-Inputs!B24) + (C8/(1+Inputs!B22)) + (Inputs!B34/(1+Inputs!B23))) + Inputs!B35 - (Inputs!B36 + Inputs!B37)</f>
        <v>377645.933</v>
      </c>
      <c r="D13" s="5">
        <f>Inputs!B31*((A13/(1+Inputs!B21))*(1-Inputs!B24) + (D8/(1+Inputs!B22)) + (Inputs!B34/(1+Inputs!B23))) + Inputs!B35 - (Inputs!B36 + Inputs!B37)</f>
        <v>384838.9155</v>
      </c>
      <c r="E13" s="5">
        <f>Inputs!B31*((A13/(1+Inputs!B21))*(1-Inputs!B24) + (E8/(1+Inputs!B22)) + (Inputs!B34/(1+Inputs!B23))) + Inputs!B35 - (Inputs!B36 + Inputs!B37)</f>
        <v>392031.8979</v>
      </c>
      <c r="F13" s="5">
        <f>Inputs!B31*((A13/(1+Inputs!B21))*(1-Inputs!B24) + (F8/(1+Inputs!B22)) + (Inputs!B34/(1+Inputs!B23))) + Inputs!B35 - (Inputs!B36 + Inputs!B37)</f>
        <v>399224.8804</v>
      </c>
      <c r="G13" s="5">
        <f>Inputs!B31*((A13/(1+Inputs!B21))*(1-Inputs!B24) + (G8/(1+Inputs!B22)) + (Inputs!B34/(1+Inputs!B23))) + Inputs!B35 - (Inputs!B36 + Inputs!B37)</f>
        <v>406417.8628</v>
      </c>
      <c r="H13" s="5">
        <f>Inputs!B31*((A13/(1+Inputs!B21))*(1-Inputs!B24) + (H8/(1+Inputs!B22)) + (Inputs!B34/(1+Inputs!B23))) + Inputs!B35 - (Inputs!B36 + Inputs!B37)</f>
        <v>413610.8453</v>
      </c>
      <c r="I13" s="5">
        <f>Inputs!B31*((A13/(1+Inputs!B21))*(1-Inputs!B24) + (I8/(1+Inputs!B22)) + (Inputs!B34/(1+Inputs!B23))) + Inputs!B35 - (Inputs!B36 + Inputs!B37)</f>
        <v>420803.8278</v>
      </c>
    </row>
    <row r="14">
      <c r="A14" s="5">
        <v>50.0</v>
      </c>
      <c r="B14" s="5">
        <f>Inputs!B31*((A14/(1+Inputs!B21))*(1-Inputs!B24) + (B8/(1+Inputs!B22)) + (Inputs!B34/(1+Inputs!B23))) + Inputs!B35 - (Inputs!B36 + Inputs!B37)</f>
        <v>400271.1324</v>
      </c>
      <c r="C14" s="5">
        <f>Inputs!B31*((A14/(1+Inputs!B21))*(1-Inputs!B24) + (C8/(1+Inputs!B22)) + (Inputs!B34/(1+Inputs!B23))) + Inputs!B35 - (Inputs!B36 + Inputs!B37)</f>
        <v>407464.1148</v>
      </c>
      <c r="D14" s="5">
        <f>Inputs!B31*((A14/(1+Inputs!B21))*(1-Inputs!B24) + (D8/(1+Inputs!B22)) + (Inputs!B34/(1+Inputs!B23))) + Inputs!B35 - (Inputs!B36 + Inputs!B37)</f>
        <v>414657.0973</v>
      </c>
      <c r="E14" s="5">
        <f>Inputs!B31*((A14/(1+Inputs!B21))*(1-Inputs!B24) + (E8/(1+Inputs!B22)) + (Inputs!B34/(1+Inputs!B23))) + Inputs!B35 - (Inputs!B36 + Inputs!B37)</f>
        <v>421850.0797</v>
      </c>
      <c r="F14" s="5">
        <f>Inputs!B31*((A14/(1+Inputs!B21))*(1-Inputs!B24) + (F8/(1+Inputs!B22)) + (Inputs!B34/(1+Inputs!B23))) + Inputs!B35 - (Inputs!B36 + Inputs!B37)</f>
        <v>429043.0622</v>
      </c>
      <c r="G14" s="5">
        <f>Inputs!B31*((A14/(1+Inputs!B21))*(1-Inputs!B24) + (G8/(1+Inputs!B22)) + (Inputs!B34/(1+Inputs!B23))) + Inputs!B35 - (Inputs!B36 + Inputs!B37)</f>
        <v>436236.0447</v>
      </c>
      <c r="H14" s="5">
        <f>Inputs!B31*((A14/(1+Inputs!B21))*(1-Inputs!B24) + (H8/(1+Inputs!B22)) + (Inputs!B34/(1+Inputs!B23))) + Inputs!B35 - (Inputs!B36 + Inputs!B37)</f>
        <v>443429.0271</v>
      </c>
      <c r="I14" s="5">
        <f>Inputs!B31*((A14/(1+Inputs!B21))*(1-Inputs!B24) + (I8/(1+Inputs!B22)) + (Inputs!B34/(1+Inputs!B23))) + Inputs!B35 - (Inputs!B36 + Inputs!B37)</f>
        <v>450622.0096</v>
      </c>
    </row>
    <row r="15">
      <c r="A15" s="5">
        <v>54.0</v>
      </c>
      <c r="B15" s="5">
        <f>Inputs!B31*((A15/(1+Inputs!B21))*(1-Inputs!B24) + (B8/(1+Inputs!B22)) + (Inputs!B34/(1+Inputs!B23))) + Inputs!B35 - (Inputs!B36 + Inputs!B37)</f>
        <v>430089.3142</v>
      </c>
      <c r="C15" s="5">
        <f>Inputs!B31*((A15/(1+Inputs!B21))*(1-Inputs!B24) + (C8/(1+Inputs!B22)) + (Inputs!B34/(1+Inputs!B23))) + Inputs!B35 - (Inputs!B36 + Inputs!B37)</f>
        <v>437282.2967</v>
      </c>
      <c r="D15" s="5">
        <f>Inputs!B31*((A15/(1+Inputs!B21))*(1-Inputs!B24) + (D8/(1+Inputs!B22)) + (Inputs!B34/(1+Inputs!B23))) + Inputs!B35 - (Inputs!B36 + Inputs!B37)</f>
        <v>444475.2791</v>
      </c>
      <c r="E15" s="5">
        <f>Inputs!B31*((A15/(1+Inputs!B21))*(1-Inputs!B24) + (E8/(1+Inputs!B22)) + (Inputs!B34/(1+Inputs!B23))) + Inputs!B35 - (Inputs!B36 + Inputs!B37)</f>
        <v>451668.2616</v>
      </c>
      <c r="F15" s="5">
        <f>Inputs!B31*((A15/(1+Inputs!B21))*(1-Inputs!B24) + (F8/(1+Inputs!B22)) + (Inputs!B34/(1+Inputs!B23))) + Inputs!B35 - (Inputs!B36 + Inputs!B37)</f>
        <v>458861.244</v>
      </c>
      <c r="G15" s="5">
        <f>Inputs!B31*((A15/(1+Inputs!B21))*(1-Inputs!B24) + (G8/(1+Inputs!B22)) + (Inputs!B34/(1+Inputs!B23))) + Inputs!B35 - (Inputs!B36 + Inputs!B37)</f>
        <v>466054.2265</v>
      </c>
      <c r="H15" s="5">
        <f>Inputs!B31*((A15/(1+Inputs!B21))*(1-Inputs!B24) + (H8/(1+Inputs!B22)) + (Inputs!B34/(1+Inputs!B23))) + Inputs!B35 - (Inputs!B36 + Inputs!B37)</f>
        <v>473247.2089</v>
      </c>
      <c r="I15" s="5">
        <f>Inputs!B31*((A15/(1+Inputs!B21))*(1-Inputs!B24) + (I8/(1+Inputs!B22)) + (Inputs!B34/(1+Inputs!B23))) + Inputs!B35 - (Inputs!B36 + Inputs!B37)</f>
        <v>480440.1914</v>
      </c>
    </row>
    <row r="16">
      <c r="A16" s="5">
        <v>58.0</v>
      </c>
      <c r="B16" s="5">
        <f>Inputs!B31*((A16/(1+Inputs!B21))*(1-Inputs!B24) + (B8/(1+Inputs!B22)) + (Inputs!B34/(1+Inputs!B23))) + Inputs!B35 - (Inputs!B36 + Inputs!B37)</f>
        <v>459907.496</v>
      </c>
      <c r="C16" s="5">
        <f>Inputs!B31*((A16/(1+Inputs!B21))*(1-Inputs!B24) + (C8/(1+Inputs!B22)) + (Inputs!B34/(1+Inputs!B23))) + Inputs!B35 - (Inputs!B36 + Inputs!B37)</f>
        <v>467100.4785</v>
      </c>
      <c r="D16" s="5">
        <f>Inputs!B31*((A16/(1+Inputs!B21))*(1-Inputs!B24) + (D8/(1+Inputs!B22)) + (Inputs!B34/(1+Inputs!B23))) + Inputs!B35 - (Inputs!B36 + Inputs!B37)</f>
        <v>474293.4609</v>
      </c>
      <c r="E16" s="5">
        <f>Inputs!B31*((A16/(1+Inputs!B21))*(1-Inputs!B24) + (E8/(1+Inputs!B22)) + (Inputs!B34/(1+Inputs!B23))) + Inputs!B35 - (Inputs!B36 + Inputs!B37)</f>
        <v>481486.4434</v>
      </c>
      <c r="F16" s="5">
        <f>Inputs!B31*((A16/(1+Inputs!B21))*(1-Inputs!B24) + (F8/(1+Inputs!B22)) + (Inputs!B34/(1+Inputs!B23))) + Inputs!B35 - (Inputs!B36 + Inputs!B37)</f>
        <v>488679.4258</v>
      </c>
      <c r="G16" s="5">
        <f>Inputs!B31*((A16/(1+Inputs!B21))*(1-Inputs!B24) + (G8/(1+Inputs!B22)) + (Inputs!B34/(1+Inputs!B23))) + Inputs!B35 - (Inputs!B36 + Inputs!B37)</f>
        <v>495872.4083</v>
      </c>
      <c r="H16" s="5">
        <f>Inputs!B31*((A16/(1+Inputs!B21))*(1-Inputs!B24) + (H8/(1+Inputs!B22)) + (Inputs!B34/(1+Inputs!B23))) + Inputs!B35 - (Inputs!B36 + Inputs!B37)</f>
        <v>503065.3907</v>
      </c>
      <c r="I16" s="5">
        <f>Inputs!B31*((A16/(1+Inputs!B21))*(1-Inputs!B24) + (I8/(1+Inputs!B22)) + (Inputs!B34/(1+Inputs!B23))) + Inputs!B35 - (Inputs!B36 + Inputs!B37)</f>
        <v>510258.3732</v>
      </c>
    </row>
    <row r="18">
      <c r="A18" s="17" t="s">
        <v>114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conditionalFormatting sqref="B9:I16">
    <cfRule type="colorScale" priority="1">
      <colorScale>
        <cfvo type="min" val="0"/>
        <cfvo type="percentile" val="50"/>
        <cfvo type="max" val="0"/>
        <color rgb="FFF8696B"/>
        <color rgb="FFFFEB84"/>
        <color rgb="FF63BE7B"/>
      </colorScale>
    </cfRule>
  </conditionalFormatting>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6.71"/>
    <col customWidth="1" min="2" max="3" width="22.71"/>
    <col customWidth="1" min="4" max="26" width="8.71"/>
  </cols>
  <sheetData>
    <row r="1">
      <c r="A1" s="1" t="s">
        <v>115</v>
      </c>
    </row>
    <row r="3">
      <c r="A3" s="11" t="s">
        <v>116</v>
      </c>
    </row>
    <row r="5">
      <c r="A5" s="3" t="s">
        <v>117</v>
      </c>
      <c r="B5" s="7">
        <f>Inputs!B31</f>
        <v>8200</v>
      </c>
    </row>
    <row r="6">
      <c r="A6" s="3" t="s">
        <v>118</v>
      </c>
      <c r="B6" s="4">
        <f>Inputs!B21</f>
        <v>0.1</v>
      </c>
    </row>
    <row r="7">
      <c r="A7" s="3" t="s">
        <v>119</v>
      </c>
      <c r="B7" s="4">
        <f>Inputs!B24</f>
        <v>0</v>
      </c>
    </row>
    <row r="8">
      <c r="A8" s="3" t="s">
        <v>120</v>
      </c>
      <c r="B8" s="5">
        <f>Inputs!B33</f>
        <v>0</v>
      </c>
    </row>
    <row r="9">
      <c r="A9" s="3" t="s">
        <v>121</v>
      </c>
      <c r="B9" s="5">
        <f>Inputs!B34</f>
        <v>0</v>
      </c>
    </row>
    <row r="10">
      <c r="A10" s="3" t="s">
        <v>78</v>
      </c>
      <c r="B10" s="4">
        <f>Inputs!B22</f>
        <v>0.14</v>
      </c>
    </row>
    <row r="11">
      <c r="A11" s="3" t="s">
        <v>79</v>
      </c>
      <c r="B11" s="4">
        <f>Inputs!B23</f>
        <v>0.24</v>
      </c>
    </row>
    <row r="12">
      <c r="A12" s="3" t="s">
        <v>122</v>
      </c>
      <c r="B12" s="6">
        <f>Inputs!B35</f>
        <v>40000</v>
      </c>
    </row>
    <row r="13">
      <c r="A13" s="3" t="s">
        <v>123</v>
      </c>
      <c r="B13" s="6">
        <f>Inputs!B36 + Inputs!B37</f>
        <v>70000</v>
      </c>
    </row>
    <row r="15">
      <c r="A15" s="3" t="s">
        <v>124</v>
      </c>
      <c r="B15" s="5">
        <f>B8/(1+B10) + B9/(1+B11)</f>
        <v>0</v>
      </c>
    </row>
    <row r="16">
      <c r="A16" s="11" t="s">
        <v>125</v>
      </c>
      <c r="B16" s="9">
        <f>((B13 - B12 - B15*B5) / B5) * (1+B6) / (1-B7)
</f>
        <v>4.024390244</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